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0115" windowHeight="9750"/>
  </bookViews>
  <sheets>
    <sheet name="AuKW-Rechner" sheetId="1" r:id="rId1"/>
  </sheets>
  <calcPr calcId="125725"/>
</workbook>
</file>

<file path=xl/calcChain.xml><?xml version="1.0" encoding="utf-8"?>
<calcChain xmlns="http://schemas.openxmlformats.org/spreadsheetml/2006/main">
  <c r="H2" i="1"/>
  <c r="C24" s="1"/>
  <c r="I7" s="1"/>
  <c r="D11"/>
  <c r="C9"/>
  <c r="J40" s="1"/>
  <c r="D71"/>
  <c r="J39"/>
  <c r="J38"/>
  <c r="C13"/>
  <c r="G2"/>
  <c r="G3" s="1"/>
  <c r="C25" l="1"/>
  <c r="L19" s="1"/>
  <c r="C26"/>
  <c r="G15" s="1"/>
  <c r="A10"/>
  <c r="J10"/>
  <c r="C33"/>
  <c r="A16" s="1"/>
  <c r="J19"/>
  <c r="J14"/>
  <c r="J36"/>
  <c r="J41"/>
  <c r="J45"/>
  <c r="J17"/>
  <c r="C22" l="1"/>
  <c r="I30" s="1"/>
  <c r="J43"/>
  <c r="J44" s="1"/>
  <c r="J42"/>
  <c r="C34"/>
  <c r="J21"/>
  <c r="J22"/>
</calcChain>
</file>

<file path=xl/sharedStrings.xml><?xml version="1.0" encoding="utf-8"?>
<sst xmlns="http://schemas.openxmlformats.org/spreadsheetml/2006/main" count="83" uniqueCount="72">
  <si>
    <t>Höhe der Wassersäule:</t>
  </si>
  <si>
    <t>m</t>
  </si>
  <si>
    <r>
      <t>Temperatur des Wassers</t>
    </r>
    <r>
      <rPr>
        <vertAlign val="superscript"/>
        <sz val="11"/>
        <color theme="1"/>
        <rFont val="Calibri"/>
        <family val="2"/>
        <scheme val="minor"/>
      </rPr>
      <t>[1]</t>
    </r>
    <r>
      <rPr>
        <i/>
        <sz val="11"/>
        <color theme="1"/>
        <rFont val="Calibri"/>
        <family val="2"/>
        <scheme val="minor"/>
      </rPr>
      <t>:</t>
    </r>
  </si>
  <si>
    <t>C°</t>
  </si>
  <si>
    <t>Zahnraddurchmesser Antriebswelle:</t>
  </si>
  <si>
    <t>Drehzahl</t>
  </si>
  <si>
    <t>Maße Auftriebsbehälter</t>
  </si>
  <si>
    <t>Durchmesser:</t>
  </si>
  <si>
    <t>Länge:</t>
  </si>
  <si>
    <t>Volumen Auftriebsbehälter:</t>
  </si>
  <si>
    <t>Liter</t>
  </si>
  <si>
    <t>Füllungsgrad Auftriebsbehälter:</t>
  </si>
  <si>
    <t>=TREND(D38:D64;C38:C64;C3)</t>
  </si>
  <si>
    <t>F2</t>
  </si>
  <si>
    <t>Stück</t>
  </si>
  <si>
    <t>((C10-2)/2)</t>
  </si>
  <si>
    <t>E10</t>
  </si>
  <si>
    <t>Durchmesser untere Zahnrad:</t>
  </si>
  <si>
    <t>Input</t>
  </si>
  <si>
    <t>(SVERWEIS(C2;C33:E73;3))</t>
  </si>
  <si>
    <t>H2</t>
  </si>
  <si>
    <t>Anzahl Befüllungsventile:</t>
  </si>
  <si>
    <t>Stk.</t>
  </si>
  <si>
    <t>m/s</t>
  </si>
  <si>
    <t>E13</t>
  </si>
  <si>
    <t>Literleistung Kompressor:</t>
  </si>
  <si>
    <t>l/min</t>
  </si>
  <si>
    <t>(((((100000*((C9/100*C7)/1000)*LN((100000+1000*9,81*C1)/100000))*((C10-2)/2))/(((C10-2)/2)))/(9,81*C1)))*(((C10-2)/2))*9,81*(C3/2)</t>
  </si>
  <si>
    <t>E11</t>
  </si>
  <si>
    <t>Wirkungsgrade Komponenten</t>
  </si>
  <si>
    <t>G27</t>
  </si>
  <si>
    <t>Output</t>
  </si>
  <si>
    <t>Kompressor:</t>
  </si>
  <si>
    <t>%</t>
  </si>
  <si>
    <t>D26*60</t>
  </si>
  <si>
    <t>Ventile:</t>
  </si>
  <si>
    <t>s f 2Behä</t>
  </si>
  <si>
    <t>Mechanik:</t>
  </si>
  <si>
    <t>C25*(C9/100*C7)/D25</t>
  </si>
  <si>
    <t>Generator:</t>
  </si>
  <si>
    <t>D25</t>
  </si>
  <si>
    <t>D26</t>
  </si>
  <si>
    <t>Leistungsdaten</t>
  </si>
  <si>
    <t>U/min</t>
  </si>
  <si>
    <t>G29</t>
  </si>
  <si>
    <t>RUNDEN(((C13/60*(C3*PI()/2/(C20/60))/C25)/C7*100);0)</t>
  </si>
  <si>
    <t>kWh</t>
  </si>
  <si>
    <t>Erforderlicher Input:</t>
  </si>
  <si>
    <t>Gesamtwirkungsgrad</t>
  </si>
  <si>
    <t>C23</t>
  </si>
  <si>
    <t>(2*PI()*((((((100000*((C9/100*C7)/1000)*LN((100000+1000*9,81*C1)/100000))*((C10-2)/2))/(((C10-2)/2)))/(9,81*C1)))*(((C10-2)/2))*9,81*(C3/2))*((((((100000*((C9/100*C7)/1000)*LN((100000+1000*9,81*C1)/100000))*((C10-2)/2))/(((C10-2)/2)))/(9,81*C1)))/((SVERWEIS(C2;C33:E73;3)))*1,24*9,81/(TREND(D33:D59;C33:C59;C2))))*(C18/100)</t>
  </si>
  <si>
    <t>Bedingte</t>
  </si>
  <si>
    <t>(RUNDEN(((C14/60*(C4*PI()/2/(C21/60))/((180-(360/C13)+180)/(360/C13)))/C8*100);0))</t>
  </si>
  <si>
    <t>WENN(C10&gt;(RUNDEN((C14/60*(C4*PI()/2/(C21/60))/(((180-(360/C13)+180)/(360/C13)))/C8*100);0));VERKETTEN("Der Kompressor müsste ";(RUNDEN(((((180-(360/C13)+180)/(360/C13))*(C10/100*C8)/(C4*PI()/2/(C21/60)))*60);2));" l/min für diesen Befüllungsgrad Leisten");"")</t>
  </si>
  <si>
    <t>(C4*PI()/2)/((((((100000*((C10/100*C8)/1000)*LN((100000+1000*9,81*C2)/100000))*((C11-2)/2))/(((C11-2)/2)))/(9,81*C2)))/((SVERWEIS(C3;C34:E74;3)))*1,24*9,81/(TREND(D34:D60;C34:C60;C3)))</t>
  </si>
  <si>
    <t>Befül l/min</t>
  </si>
  <si>
    <t>kv</t>
  </si>
  <si>
    <t>d</t>
  </si>
  <si>
    <t>l/s</t>
  </si>
  <si>
    <t>t</t>
  </si>
  <si>
    <t>V</t>
  </si>
  <si>
    <t>s/l</t>
  </si>
  <si>
    <t>in befüllzeit</t>
  </si>
  <si>
    <r>
      <t>Gesamtanzahl Behälter</t>
    </r>
    <r>
      <rPr>
        <vertAlign val="superscript"/>
        <sz val="11"/>
        <color theme="1"/>
        <rFont val="Calibri"/>
        <family val="2"/>
        <scheme val="minor"/>
      </rPr>
      <t>[2]</t>
    </r>
    <r>
      <rPr>
        <i/>
        <sz val="11"/>
        <color theme="1"/>
        <rFont val="Calibri"/>
        <family val="2"/>
        <scheme val="minor"/>
      </rPr>
      <t>:</t>
    </r>
  </si>
  <si>
    <r>
      <rPr>
        <i/>
        <sz val="11"/>
        <color theme="1"/>
        <rFont val="Calibri"/>
        <family val="2"/>
        <scheme val="minor"/>
      </rPr>
      <t>Gesamtwirkungsgrad</t>
    </r>
    <r>
      <rPr>
        <vertAlign val="superscript"/>
        <sz val="11"/>
        <color theme="1"/>
        <rFont val="Calibri"/>
        <family val="2"/>
        <scheme val="minor"/>
      </rPr>
      <t>[3]</t>
    </r>
    <r>
      <rPr>
        <i/>
        <sz val="11"/>
        <color theme="1"/>
        <rFont val="Calibri"/>
        <family val="2"/>
        <scheme val="minor"/>
      </rPr>
      <t>:</t>
    </r>
  </si>
  <si>
    <r>
      <rPr>
        <i/>
        <sz val="11"/>
        <color theme="1"/>
        <rFont val="Calibri"/>
        <family val="2"/>
        <scheme val="minor"/>
      </rPr>
      <t>Drehzahl</t>
    </r>
    <r>
      <rPr>
        <vertAlign val="superscript"/>
        <sz val="11"/>
        <color theme="1"/>
        <rFont val="Calibri"/>
        <family val="2"/>
        <scheme val="minor"/>
      </rPr>
      <t>[4]</t>
    </r>
    <r>
      <rPr>
        <i/>
        <sz val="11"/>
        <color theme="1"/>
        <rFont val="Calibri"/>
        <family val="2"/>
        <scheme val="minor"/>
      </rPr>
      <t>:</t>
    </r>
  </si>
  <si>
    <r>
      <rPr>
        <i/>
        <sz val="11"/>
        <color theme="1"/>
        <rFont val="Calibri"/>
        <family val="2"/>
        <scheme val="minor"/>
      </rPr>
      <t>Generator Output</t>
    </r>
    <r>
      <rPr>
        <vertAlign val="superscript"/>
        <sz val="11"/>
        <color theme="1"/>
        <rFont val="Calibri"/>
        <family val="2"/>
        <scheme val="minor"/>
      </rPr>
      <t>[5]</t>
    </r>
    <r>
      <rPr>
        <i/>
        <sz val="11"/>
        <color theme="1"/>
        <rFont val="Calibri"/>
        <family val="2"/>
        <scheme val="minor"/>
      </rPr>
      <t>:</t>
    </r>
  </si>
  <si>
    <t>[5]  Es wird vorausgesetzt, das eine optimale Getriebeübersetzung vorhanden ist, welche die für den Generator benötigte Drehzahl bereitstellt.</t>
  </si>
  <si>
    <t>[4]  Die Drehzahl bezieht sich auf die erste direkt durch den Auftrieb angetriebene Welle.</t>
  </si>
  <si>
    <t>[3]  Bedingt durch Berücksichtigung der Strömungswiderstände kann kein Wirkungsgrad von 1 erzielt werden.</t>
  </si>
  <si>
    <t>[2]  Das 2m-Modell z.B. verfügt über insgesamt 19, das 5m-AuKW über 38 Auftriebsbehälter.</t>
  </si>
  <si>
    <t>[1]   Da der Reibwiderstand von der Viskosität abhängt, und diese wiederum von der Temperatur, muss hier ein Wert zwischen 0C° und 40C° eingegeben werden.</t>
  </si>
</sst>
</file>

<file path=xl/styles.xml><?xml version="1.0" encoding="utf-8"?>
<styleSheet xmlns="http://schemas.openxmlformats.org/spreadsheetml/2006/main">
  <numFmts count="1">
    <numFmt numFmtId="164" formatCode="0.000000000"/>
  </numFmts>
  <fonts count="1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2" fontId="2" fillId="2" borderId="0" xfId="0" applyNumberFormat="1" applyFont="1" applyFill="1"/>
    <xf numFmtId="0" fontId="3" fillId="2" borderId="0" xfId="0" applyFont="1" applyFill="1" applyAlignment="1">
      <alignment horizontal="right"/>
    </xf>
    <xf numFmtId="2" fontId="0" fillId="3" borderId="1" xfId="0" applyNumberFormat="1" applyFill="1" applyBorder="1" applyProtection="1">
      <protection locked="0"/>
    </xf>
    <xf numFmtId="0" fontId="3" fillId="2" borderId="0" xfId="0" applyFont="1" applyFill="1"/>
    <xf numFmtId="0" fontId="0" fillId="2" borderId="0" xfId="0" applyFill="1" applyAlignment="1"/>
    <xf numFmtId="0" fontId="3" fillId="2" borderId="0" xfId="0" applyFont="1" applyFill="1" applyAlignment="1">
      <alignment horizontal="right" vertical="top"/>
    </xf>
    <xf numFmtId="1" fontId="0" fillId="3" borderId="1" xfId="0" applyNumberFormat="1" applyFill="1" applyBorder="1" applyProtection="1">
      <protection locked="0"/>
    </xf>
    <xf numFmtId="0" fontId="7" fillId="2" borderId="0" xfId="0" applyFont="1" applyFill="1" applyAlignment="1">
      <alignment horizontal="right"/>
    </xf>
    <xf numFmtId="0" fontId="7" fillId="2" borderId="0" xfId="0" applyFont="1" applyFill="1" applyAlignment="1"/>
    <xf numFmtId="2" fontId="3" fillId="2" borderId="0" xfId="0" applyNumberFormat="1" applyFont="1" applyFill="1"/>
    <xf numFmtId="0" fontId="2" fillId="2" borderId="0" xfId="0" applyFont="1" applyFill="1"/>
    <xf numFmtId="2" fontId="0" fillId="2" borderId="0" xfId="0" applyNumberFormat="1" applyFill="1"/>
    <xf numFmtId="0" fontId="2" fillId="2" borderId="0" xfId="0" quotePrefix="1" applyFont="1" applyFill="1"/>
    <xf numFmtId="2" fontId="3" fillId="2" borderId="0" xfId="0" applyNumberFormat="1" applyFont="1" applyFill="1" applyBorder="1"/>
    <xf numFmtId="164" fontId="2" fillId="2" borderId="0" xfId="0" applyNumberFormat="1" applyFont="1" applyFill="1"/>
    <xf numFmtId="0" fontId="0" fillId="3" borderId="1" xfId="0" applyFill="1" applyBorder="1" applyProtection="1">
      <protection locked="0"/>
    </xf>
    <xf numFmtId="0" fontId="0" fillId="2" borderId="0" xfId="0" applyFill="1" applyAlignment="1">
      <alignment horizontal="right"/>
    </xf>
    <xf numFmtId="1" fontId="3" fillId="2" borderId="0" xfId="0" applyNumberFormat="1" applyFont="1" applyFill="1"/>
    <xf numFmtId="1" fontId="0" fillId="2" borderId="0" xfId="0" applyNumberFormat="1" applyFill="1"/>
    <xf numFmtId="2" fontId="9" fillId="2" borderId="0" xfId="0" applyNumberFormat="1" applyFont="1" applyFill="1"/>
    <xf numFmtId="0" fontId="2" fillId="2" borderId="0" xfId="0" applyNumberFormat="1" applyFont="1" applyFill="1"/>
    <xf numFmtId="0" fontId="12" fillId="2" borderId="0" xfId="0" applyFont="1" applyFill="1" applyAlignment="1">
      <alignment horizontal="left"/>
    </xf>
    <xf numFmtId="0" fontId="12" fillId="2" borderId="0" xfId="0" applyFont="1" applyFill="1"/>
    <xf numFmtId="1" fontId="9" fillId="2" borderId="0" xfId="0" applyNumberFormat="1" applyFont="1" applyFill="1" applyBorder="1" applyProtection="1"/>
    <xf numFmtId="1" fontId="6" fillId="2" borderId="0" xfId="0" applyNumberFormat="1" applyFont="1" applyFill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2" fontId="8" fillId="2" borderId="0" xfId="0" applyNumberFormat="1" applyFont="1" applyFill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2" fontId="1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</cellXfs>
  <cellStyles count="1">
    <cellStyle name="Standard" xfId="0" builtinId="0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</xdr:colOff>
      <xdr:row>7</xdr:row>
      <xdr:rowOff>171450</xdr:rowOff>
    </xdr:from>
    <xdr:to>
      <xdr:col>11</xdr:col>
      <xdr:colOff>64595</xdr:colOff>
      <xdr:row>27</xdr:row>
      <xdr:rowOff>57150</xdr:rowOff>
    </xdr:to>
    <xdr:pic>
      <xdr:nvPicPr>
        <xdr:cNvPr id="5" name="Grafik 4" descr="EXCEL_Auftrieb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05725" y="1524000"/>
          <a:ext cx="2569670" cy="3619500"/>
        </a:xfrm>
        <a:prstGeom prst="rect">
          <a:avLst/>
        </a:prstGeom>
      </xdr:spPr>
    </xdr:pic>
    <xdr:clientData/>
  </xdr:twoCellAnchor>
  <xdr:twoCellAnchor editAs="oneCell">
    <xdr:from>
      <xdr:col>5</xdr:col>
      <xdr:colOff>563902</xdr:colOff>
      <xdr:row>17</xdr:row>
      <xdr:rowOff>78698</xdr:rowOff>
    </xdr:from>
    <xdr:to>
      <xdr:col>7</xdr:col>
      <xdr:colOff>673080</xdr:colOff>
      <xdr:row>25</xdr:row>
      <xdr:rowOff>180975</xdr:rowOff>
    </xdr:to>
    <xdr:pic>
      <xdr:nvPicPr>
        <xdr:cNvPr id="3" name="Grafik 2" descr="EXCEL_Kompressor2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64577" y="3279098"/>
          <a:ext cx="1633178" cy="1521502"/>
        </a:xfrm>
        <a:prstGeom prst="rect">
          <a:avLst/>
        </a:prstGeom>
      </xdr:spPr>
    </xdr:pic>
    <xdr:clientData/>
  </xdr:twoCellAnchor>
  <xdr:twoCellAnchor editAs="oneCell">
    <xdr:from>
      <xdr:col>11</xdr:col>
      <xdr:colOff>96985</xdr:colOff>
      <xdr:row>20</xdr:row>
      <xdr:rowOff>125127</xdr:rowOff>
    </xdr:from>
    <xdr:to>
      <xdr:col>13</xdr:col>
      <xdr:colOff>57150</xdr:colOff>
      <xdr:row>26</xdr:row>
      <xdr:rowOff>9526</xdr:rowOff>
    </xdr:to>
    <xdr:pic>
      <xdr:nvPicPr>
        <xdr:cNvPr id="4" name="Grafik 3" descr="EXCEL_Generator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307785" y="3763677"/>
          <a:ext cx="1484165" cy="1113124"/>
        </a:xfrm>
        <a:prstGeom prst="rect">
          <a:avLst/>
        </a:prstGeom>
      </xdr:spPr>
    </xdr:pic>
    <xdr:clientData/>
  </xdr:twoCellAnchor>
  <xdr:twoCellAnchor>
    <xdr:from>
      <xdr:col>0</xdr:col>
      <xdr:colOff>723897</xdr:colOff>
      <xdr:row>32</xdr:row>
      <xdr:rowOff>28574</xdr:rowOff>
    </xdr:from>
    <xdr:to>
      <xdr:col>9</xdr:col>
      <xdr:colOff>666749</xdr:colOff>
      <xdr:row>34</xdr:row>
      <xdr:rowOff>85725</xdr:rowOff>
    </xdr:to>
    <xdr:sp macro="" textlink="">
      <xdr:nvSpPr>
        <xdr:cNvPr id="8" name="Textfeld 7"/>
        <xdr:cNvSpPr txBox="1"/>
      </xdr:nvSpPr>
      <xdr:spPr>
        <a:xfrm>
          <a:off x="723897" y="6067424"/>
          <a:ext cx="8391527" cy="4381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>
              <a:solidFill>
                <a:schemeClr val="dk1"/>
              </a:solidFill>
              <a:latin typeface="+mn-lt"/>
              <a:ea typeface="+mn-ea"/>
              <a:cs typeface="+mn-cs"/>
            </a:rPr>
            <a:t>Für ein möglichst exaktes Ergebnis muß der Strömungswiderstand experimentell bestimmt werden.</a:t>
          </a:r>
          <a:r>
            <a:rPr lang="de-DE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de-DE" sz="1000">
              <a:solidFill>
                <a:schemeClr val="dk1"/>
              </a:solidFill>
              <a:latin typeface="+mn-lt"/>
              <a:ea typeface="+mn-ea"/>
              <a:cs typeface="+mn-cs"/>
            </a:rPr>
            <a:t>Da diese Möglichkeit nicht gegeben war, wurde der hier verwendete Strömungswiderstand anhand des Videomaterials vom Messemodell bestimmt, unter der naheliegenden Annahme, das der Generator lastfrei lief.</a:t>
          </a:r>
        </a:p>
        <a:p>
          <a:endParaRPr lang="de-DE" sz="10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0"/>
  <sheetViews>
    <sheetView showGridLines="0" showRowColHeaders="0" tabSelected="1" workbookViewId="0">
      <selection activeCell="C3" sqref="C3"/>
    </sheetView>
  </sheetViews>
  <sheetFormatPr baseColWidth="10" defaultRowHeight="15"/>
  <cols>
    <col min="1" max="1" width="11" style="1" customWidth="1"/>
    <col min="2" max="2" width="37.7109375" style="1" customWidth="1"/>
    <col min="3" max="3" width="5.85546875" style="1" customWidth="1"/>
    <col min="4" max="4" width="15" style="1" customWidth="1"/>
    <col min="5" max="9" width="11.42578125" style="1"/>
    <col min="10" max="10" width="11.5703125" style="1" bestFit="1" customWidth="1"/>
    <col min="11" max="11" width="14.85546875" style="1" customWidth="1"/>
    <col min="12" max="16384" width="11.42578125" style="1"/>
  </cols>
  <sheetData>
    <row r="1" spans="1:13" ht="8.25" customHeight="1"/>
    <row r="2" spans="1:13" ht="15.75" thickBot="1">
      <c r="G2" s="2">
        <f>ROUNDUP(C3,0)</f>
        <v>2</v>
      </c>
      <c r="H2" s="12">
        <f>VLOOKUP(C4,C40:E80,3)</f>
        <v>998.59760000000006</v>
      </c>
    </row>
    <row r="3" spans="1:13">
      <c r="B3" s="3" t="s">
        <v>0</v>
      </c>
      <c r="C3" s="4">
        <v>2</v>
      </c>
      <c r="D3" s="5" t="s">
        <v>1</v>
      </c>
      <c r="F3" s="6"/>
      <c r="G3" s="33" t="str">
        <f>IF(C3="","Leistungsdaten",CONCATENATE("Leistungsdaten ",ROUND(G2,0),"m-AuKW"))</f>
        <v>Leistungsdaten 2m-AuKW</v>
      </c>
      <c r="H3" s="34"/>
      <c r="I3" s="34"/>
      <c r="J3" s="34"/>
      <c r="K3" s="34"/>
      <c r="L3" s="34"/>
      <c r="M3" s="35"/>
    </row>
    <row r="4" spans="1:13" ht="15.75" customHeight="1" thickBot="1">
      <c r="B4" s="7" t="s">
        <v>2</v>
      </c>
      <c r="C4" s="8">
        <v>18.3</v>
      </c>
      <c r="D4" s="5" t="s">
        <v>3</v>
      </c>
      <c r="F4" s="6"/>
      <c r="G4" s="36"/>
      <c r="H4" s="37"/>
      <c r="I4" s="37"/>
      <c r="J4" s="37"/>
      <c r="K4" s="37"/>
      <c r="L4" s="37"/>
      <c r="M4" s="38"/>
    </row>
    <row r="5" spans="1:13">
      <c r="B5" s="3" t="s">
        <v>4</v>
      </c>
      <c r="C5" s="4">
        <v>0.3</v>
      </c>
      <c r="D5" s="5" t="s">
        <v>1</v>
      </c>
      <c r="I5" s="32" t="s">
        <v>5</v>
      </c>
      <c r="J5" s="32"/>
      <c r="K5" s="32"/>
    </row>
    <row r="6" spans="1:13">
      <c r="B6" s="9" t="s">
        <v>6</v>
      </c>
      <c r="C6" s="10"/>
      <c r="D6" s="5"/>
      <c r="I6" s="32"/>
      <c r="J6" s="32"/>
      <c r="K6" s="32"/>
    </row>
    <row r="7" spans="1:13">
      <c r="B7" s="3" t="s">
        <v>7</v>
      </c>
      <c r="C7" s="4">
        <v>0.15</v>
      </c>
      <c r="D7" s="5" t="s">
        <v>1</v>
      </c>
      <c r="I7" s="27" t="str">
        <f>IF(C5="","",CONCATENATE(ROUND(C24,2)," U/min"))</f>
        <v>2 U/min</v>
      </c>
      <c r="J7" s="27"/>
      <c r="K7" s="27"/>
    </row>
    <row r="8" spans="1:13">
      <c r="B8" s="3" t="s">
        <v>8</v>
      </c>
      <c r="C8" s="4">
        <v>0.3</v>
      </c>
      <c r="D8" s="5" t="s">
        <v>1</v>
      </c>
      <c r="I8" s="27"/>
      <c r="J8" s="27"/>
      <c r="K8" s="27"/>
    </row>
    <row r="9" spans="1:13">
      <c r="B9" s="3" t="s">
        <v>9</v>
      </c>
      <c r="C9" s="11">
        <f>IF(C8="","",(C7/2)^2*PI()*C8*1000)</f>
        <v>5.3014376029327757</v>
      </c>
      <c r="D9" s="5" t="s">
        <v>10</v>
      </c>
      <c r="I9" s="12"/>
      <c r="J9" s="12"/>
      <c r="K9" s="12"/>
    </row>
    <row r="10" spans="1:13">
      <c r="A10" s="39" t="str">
        <f>IF(C4="","",IF(C11&gt;(ROUND((C15/60*(C5*PI()/2/(C24/60))/(((180-(360/C14)+180)/(360/C14)))/C9*100),0)),CONCATENATE("Der Kompressor müsste ",(ROUND(((((180-(360/C14)+180)/(360/C14))*(C11/100*C9)/(C5*PI()/2/(C24/60)))*60),2))," l/min für diesen Befüllungsgrad liefern"),""))</f>
        <v/>
      </c>
      <c r="B10" s="39"/>
      <c r="C10" s="39"/>
      <c r="D10" s="39"/>
      <c r="E10" s="39"/>
      <c r="F10" s="39"/>
      <c r="H10" s="13"/>
      <c r="I10" s="12"/>
      <c r="J10" s="12">
        <f>(((100000*((C11/100*C9)/1000)*LN((100000+1000*9.81*C3)/100000))*((C12-2)/2)))</f>
        <v>456.92560743473967</v>
      </c>
      <c r="K10" s="12"/>
    </row>
    <row r="11" spans="1:13">
      <c r="B11" s="3" t="s">
        <v>11</v>
      </c>
      <c r="C11" s="8">
        <v>56.6</v>
      </c>
      <c r="D11" s="5" t="str">
        <f>IF(C11="","",CONCATENATE("% (=",(ROUND((C11/100*C9),2))," Liter je Behälter)"))</f>
        <v>% (=3 Liter je Behälter)</v>
      </c>
      <c r="E11" s="13"/>
      <c r="F11" s="13"/>
      <c r="I11" s="12"/>
      <c r="J11" s="14" t="s">
        <v>12</v>
      </c>
      <c r="K11" s="12" t="s">
        <v>13</v>
      </c>
    </row>
    <row r="12" spans="1:13" ht="17.25">
      <c r="B12" s="3" t="s">
        <v>63</v>
      </c>
      <c r="C12" s="8">
        <v>19</v>
      </c>
      <c r="D12" s="5" t="s">
        <v>14</v>
      </c>
      <c r="I12" s="12"/>
      <c r="J12" s="12" t="s">
        <v>15</v>
      </c>
      <c r="K12" s="12" t="s">
        <v>16</v>
      </c>
    </row>
    <row r="13" spans="1:13">
      <c r="B13" s="3" t="s">
        <v>17</v>
      </c>
      <c r="C13" s="15">
        <f>C5</f>
        <v>0.3</v>
      </c>
      <c r="D13" s="5" t="s">
        <v>1</v>
      </c>
      <c r="G13" s="31" t="s">
        <v>18</v>
      </c>
      <c r="H13" s="31"/>
      <c r="I13" s="12"/>
      <c r="J13" s="12" t="s">
        <v>19</v>
      </c>
      <c r="K13" s="12" t="s">
        <v>20</v>
      </c>
      <c r="L13" s="40"/>
      <c r="M13" s="40"/>
    </row>
    <row r="14" spans="1:13">
      <c r="B14" s="3" t="s">
        <v>21</v>
      </c>
      <c r="C14" s="25">
        <v>3</v>
      </c>
      <c r="D14" s="5" t="s">
        <v>22</v>
      </c>
      <c r="G14" s="31"/>
      <c r="H14" s="31"/>
      <c r="I14" s="12" t="s">
        <v>23</v>
      </c>
      <c r="J14" s="16">
        <f>(((((100000*((C11/100*C9)/1000)*LN((100000+1000*9.81*C3)/100000))*((C12-2)/2))/(((C12-2)/2)))/(9.81*C3)))/((VLOOKUP(C4,C40:E80,3)))*1.24*9.81/(TREND(D40:D66,C40:C66,C4))</f>
        <v>3.1395532236356237E-2</v>
      </c>
      <c r="K14" s="12" t="s">
        <v>24</v>
      </c>
      <c r="L14" s="40"/>
      <c r="M14" s="40"/>
    </row>
    <row r="15" spans="1:13">
      <c r="B15" s="3" t="s">
        <v>25</v>
      </c>
      <c r="C15" s="8">
        <v>60</v>
      </c>
      <c r="D15" s="5" t="s">
        <v>26</v>
      </c>
      <c r="G15" s="28" t="str">
        <f>IF(C15="","",CONCATENATE(ROUND(C26,2)," kWh"))</f>
        <v>2,02 kWh</v>
      </c>
      <c r="H15" s="29"/>
      <c r="I15" s="12"/>
      <c r="J15" s="12" t="s">
        <v>27</v>
      </c>
      <c r="K15" s="12" t="s">
        <v>28</v>
      </c>
      <c r="L15" s="29"/>
      <c r="M15" s="29"/>
    </row>
    <row r="16" spans="1:13">
      <c r="A16" s="30" t="str">
        <f>IF(C4="","",IF(C33&gt;C15,CONCATENATE("Die Drehzahl ist zu hoch, bzw. die Kompressorleistung zu gering für einen Befüllungsgrad von ",C11,"%"),""))</f>
        <v/>
      </c>
      <c r="B16" s="30"/>
      <c r="C16" s="30"/>
      <c r="D16" s="30"/>
      <c r="E16" s="30"/>
      <c r="F16" s="30"/>
      <c r="G16" s="29"/>
      <c r="H16" s="29"/>
      <c r="I16" s="12"/>
      <c r="J16" s="12"/>
      <c r="K16" s="12"/>
      <c r="L16" s="29"/>
      <c r="M16" s="29"/>
    </row>
    <row r="17" spans="2:13" ht="15" customHeight="1">
      <c r="B17" s="9" t="s">
        <v>29</v>
      </c>
      <c r="I17" s="12"/>
      <c r="J17" s="12">
        <f>ROUND(((((180-(360/C14)+180)/(360/C14))*(C11/100*C9)/(C5*PI()/2/(C24/60)))*60),2)</f>
        <v>25.42</v>
      </c>
      <c r="K17" s="12" t="s">
        <v>30</v>
      </c>
      <c r="L17" s="31" t="s">
        <v>31</v>
      </c>
      <c r="M17" s="31"/>
    </row>
    <row r="18" spans="2:13" ht="15" customHeight="1">
      <c r="B18" s="3" t="s">
        <v>32</v>
      </c>
      <c r="C18" s="17">
        <v>20</v>
      </c>
      <c r="D18" s="5" t="s">
        <v>33</v>
      </c>
      <c r="I18" s="12"/>
      <c r="J18" s="12" t="s">
        <v>34</v>
      </c>
      <c r="K18" s="12"/>
      <c r="L18" s="31"/>
      <c r="M18" s="31"/>
    </row>
    <row r="19" spans="2:13" ht="15" hidden="1" customHeight="1">
      <c r="B19" s="3" t="s">
        <v>35</v>
      </c>
      <c r="C19" s="17">
        <v>90</v>
      </c>
      <c r="D19" s="5" t="s">
        <v>33</v>
      </c>
      <c r="I19" s="12" t="s">
        <v>36</v>
      </c>
      <c r="J19" s="12">
        <f>((C5*PI()/2)/((((((100000*((C11/100*C9)/1000)*LN((100000+1000*9.81*C3)/100000))*((C12-2)/2))/(((C12-2)/2)))/(9.81*C3)))/((VLOOKUP(C4,C40:E80,3)))*1.24*9.81/(TREND(D40:D66,C40:C66,C4))))</f>
        <v>15.009743886194455</v>
      </c>
      <c r="K19" s="12"/>
      <c r="L19" s="29" t="str">
        <f>IF(C15="","",CONCATENATE(ROUND(C25,2)," kWh"))</f>
        <v>0,29 kWh</v>
      </c>
      <c r="M19" s="29"/>
    </row>
    <row r="20" spans="2:13" ht="15" customHeight="1">
      <c r="B20" s="3" t="s">
        <v>37</v>
      </c>
      <c r="C20" s="17">
        <v>85</v>
      </c>
      <c r="D20" s="5" t="s">
        <v>33</v>
      </c>
      <c r="I20" s="12"/>
      <c r="J20" s="12" t="s">
        <v>38</v>
      </c>
      <c r="K20" s="12"/>
      <c r="L20" s="29"/>
      <c r="M20" s="29"/>
    </row>
    <row r="21" spans="2:13">
      <c r="B21" s="3" t="s">
        <v>39</v>
      </c>
      <c r="C21" s="17">
        <v>90</v>
      </c>
      <c r="D21" s="5" t="s">
        <v>33</v>
      </c>
      <c r="I21" s="12"/>
      <c r="J21" s="12">
        <f>C5*PI()/2/(C24/60)</f>
        <v>14.164539094582251</v>
      </c>
      <c r="K21" s="12" t="s">
        <v>40</v>
      </c>
      <c r="L21" s="29"/>
      <c r="M21" s="29"/>
    </row>
    <row r="22" spans="2:13" ht="17.25">
      <c r="B22" s="18" t="s">
        <v>64</v>
      </c>
      <c r="C22" s="19">
        <f>IF(C15="","",C25/C26*100)</f>
        <v>14.419910279977149</v>
      </c>
      <c r="D22" s="5" t="s">
        <v>33</v>
      </c>
      <c r="I22" s="12" t="s">
        <v>41</v>
      </c>
      <c r="J22" s="12">
        <f>((180-(360/C14)+180)/(360/C14))*(C11/100*C9)/(C5*PI()/2/(C24/60))</f>
        <v>0.42367967827596259</v>
      </c>
      <c r="K22" s="12"/>
    </row>
    <row r="23" spans="2:13">
      <c r="B23" s="9" t="s">
        <v>42</v>
      </c>
      <c r="C23" s="20"/>
      <c r="I23" s="12"/>
      <c r="J23" s="12"/>
      <c r="K23" s="12"/>
    </row>
    <row r="24" spans="2:13" ht="17.25">
      <c r="B24" s="18" t="s">
        <v>65</v>
      </c>
      <c r="C24" s="11">
        <f>IF(C5="","",(((((((100000*((C11/100*C9)/1000)*LN((100000+H2*9.81*C3)/100000))*((C12-2)/2))/(((C12-2)/2)))/(9.81*C3)))/((VLOOKUP(C4,C40:E80,3)))*1.24*9.81/(TREND(D40:D66,C40:C66,C4)))/(C5*PI()))*60)</f>
        <v>1.9961351155522382</v>
      </c>
      <c r="D24" s="5" t="s">
        <v>43</v>
      </c>
      <c r="I24" s="12" t="s">
        <v>44</v>
      </c>
      <c r="J24" s="12" t="s">
        <v>45</v>
      </c>
      <c r="K24" s="12"/>
    </row>
    <row r="25" spans="2:13" ht="17.25">
      <c r="B25" s="18" t="s">
        <v>66</v>
      </c>
      <c r="C25" s="21">
        <f>IF(C15="","",((2*PI()*((((((100000*((C11/100*C9)/1000)*LN((100000+H2*9.81*C3)/100000))*((C12-2)/2))/(((C12-2)/2)))/(9.81*C3)))*(((C12-2)/2))*9.81*(C5/2))*((((((100000*((C11/100*C9)/1000)*LN((100000+H2*9.81*C3)/100000))*((C12-2)/2))/(((C12-2)/2)))/(9.81*C3)))/((VLOOKUP(C4,C40:E80,3)))*1.24*9.81/(TREND(D40:D66,C40:C66,C4))))*(C21/100))/((C3/((((((100000*((C11/100*C9)/1000)*LN((100000+H2*9.81*C3)/100000))*((C12-2)/2))/((C12-2)/2))/(9.81*C3)))/((VLOOKUP(C4,C40:E80,3)))*1.24*9.81/(TREND(D40:D66,C40:C66,C4)))))*3.6*(C20/100))</f>
        <v>0.29112677888636435</v>
      </c>
      <c r="D25" s="11" t="s">
        <v>46</v>
      </c>
      <c r="I25" s="12"/>
      <c r="J25" s="12"/>
      <c r="K25" s="12"/>
    </row>
    <row r="26" spans="2:13">
      <c r="B26" s="3" t="s">
        <v>47</v>
      </c>
      <c r="C26" s="21">
        <f>IF(C15="","",((((100000*((C11/100*C9)/1000)*LN((100000+H2*9.81*C3)/100000))*((C12-2)/2))/(C18/100))/(C3/((((((100000*((C11/100*C9)/1000)*LN((100000+H2*9.81*C3)/100000))*((C12-2)/2))/(((C12-2)/2)))/(9.81*C3)))/(VLOOKUP(C4,C40:E80,3))*1.24*9.81/(TREND(D40:D66,C40:C66,C4)))))/(C3/((((((100000*((C11/100*C9)/1000)*LN((100000+H2*9.81*C3)/100000))*((C12-2)/2))/(((C12-2)/2)))/(9.81*C3)))/((VLOOKUP(C4,C40:E80,3)))*1.24*9.81/(TREND(D40:D66,C40:C66,C4))))*3.6)</f>
        <v>2.0189222625789158</v>
      </c>
      <c r="D26" s="11" t="s">
        <v>46</v>
      </c>
      <c r="I26" s="12"/>
      <c r="J26" s="12"/>
      <c r="K26" s="12"/>
    </row>
    <row r="27" spans="2:13">
      <c r="B27" s="3"/>
      <c r="C27" s="21"/>
      <c r="D27" s="11"/>
      <c r="I27" s="12"/>
      <c r="J27" s="12"/>
      <c r="K27" s="12"/>
    </row>
    <row r="28" spans="2:13">
      <c r="B28" s="23" t="s">
        <v>71</v>
      </c>
      <c r="C28" s="13"/>
      <c r="D28" s="13"/>
      <c r="I28" s="32" t="s">
        <v>48</v>
      </c>
      <c r="J28" s="32"/>
      <c r="K28" s="32"/>
    </row>
    <row r="29" spans="2:13">
      <c r="B29" s="23" t="s">
        <v>70</v>
      </c>
      <c r="C29" s="13"/>
      <c r="D29" s="13"/>
      <c r="I29" s="32"/>
      <c r="J29" s="32"/>
      <c r="K29" s="32"/>
    </row>
    <row r="30" spans="2:13">
      <c r="B30" s="24" t="s">
        <v>69</v>
      </c>
      <c r="I30" s="26" t="str">
        <f>IF(C15="","",CONCATENATE(ROUND(C22,2)," %"))</f>
        <v>14,42 %</v>
      </c>
      <c r="J30" s="27"/>
      <c r="K30" s="27"/>
    </row>
    <row r="31" spans="2:13">
      <c r="B31" s="24" t="s">
        <v>68</v>
      </c>
      <c r="F31" s="13"/>
      <c r="I31" s="27"/>
      <c r="J31" s="27"/>
      <c r="K31" s="27"/>
    </row>
    <row r="32" spans="2:13">
      <c r="B32" s="24" t="s">
        <v>67</v>
      </c>
      <c r="I32" s="12" t="s">
        <v>49</v>
      </c>
      <c r="J32" s="22" t="s">
        <v>50</v>
      </c>
      <c r="K32" s="12"/>
    </row>
    <row r="33" spans="2:11">
      <c r="B33" s="24"/>
      <c r="C33" s="12">
        <f>(ROUND((C11/100*C9),2))*((180-(360/C14)+180)/(360/C14))/((ROUND(C15/60*(C5*PI()/2),2))/((((((100000*((C11/100*C9)/1000)*LN((100000+1000*9.81*C3)/100000))*((C12-2)/2))/(((C12-2)/2)))/(9.81*C3)))/((VLOOKUP(C4,C40:E80,3)))*1.24*9.81/(TREND(D40:D66,C40:C66,C4))))*60</f>
        <v>24.047641712953716</v>
      </c>
      <c r="I33" s="12" t="s">
        <v>51</v>
      </c>
      <c r="J33" s="12" t="s">
        <v>52</v>
      </c>
      <c r="K33" s="12"/>
    </row>
    <row r="34" spans="2:11">
      <c r="B34" s="24"/>
      <c r="C34" s="12">
        <f>ROUND((C15/60*(C5*PI()/2/(C24/60))/(((180-(360/C14)+180)/(360/C14)))/C9*100),0)</f>
        <v>134</v>
      </c>
      <c r="I34" s="12"/>
      <c r="J34" s="22" t="s">
        <v>53</v>
      </c>
      <c r="K34" s="12"/>
    </row>
    <row r="35" spans="2:11">
      <c r="I35" s="12"/>
      <c r="J35" s="12" t="s">
        <v>54</v>
      </c>
      <c r="K35" s="12"/>
    </row>
    <row r="36" spans="2:11">
      <c r="C36" s="20"/>
      <c r="G36" s="20"/>
      <c r="I36" s="12" t="s">
        <v>55</v>
      </c>
      <c r="J36" s="12">
        <f>C15/(ROUND((C11/100*C9),2)*((180-(360/C14)+180)/(360/C14))/((C5*PI()/2)/((((((100000*((C11/100*C9)/1000)*LN((100000+1000*9.81*C3)/100000))*((C12-2)/2))/(((C12-2)/2)))/(9.81*C3)))/((VLOOKUP(C4,C40:E80,3)))*1.24*9.81/(TREND(D40:D66,C40:C66,C4)))))</f>
        <v>150.09743886194454</v>
      </c>
      <c r="K36" s="12"/>
    </row>
    <row r="37" spans="2:11">
      <c r="I37" s="12"/>
      <c r="J37" s="12"/>
      <c r="K37" s="12"/>
    </row>
    <row r="38" spans="2:11">
      <c r="I38" s="12"/>
      <c r="J38" s="12">
        <f>ROUND(C15/60*(C5*PI()/2),2)</f>
        <v>0.47</v>
      </c>
      <c r="K38" s="12"/>
    </row>
    <row r="39" spans="2:11">
      <c r="C39" s="12"/>
      <c r="D39" s="12" t="s">
        <v>56</v>
      </c>
      <c r="E39" s="12" t="s">
        <v>57</v>
      </c>
      <c r="I39" s="12" t="s">
        <v>58</v>
      </c>
      <c r="J39" s="12">
        <f>C15/60</f>
        <v>1</v>
      </c>
      <c r="K39" s="12"/>
    </row>
    <row r="40" spans="2:11">
      <c r="C40" s="12">
        <v>0</v>
      </c>
      <c r="D40" s="12">
        <v>1.792</v>
      </c>
      <c r="E40" s="12">
        <v>999.84259999999995</v>
      </c>
      <c r="I40" s="12" t="s">
        <v>59</v>
      </c>
      <c r="J40" s="12">
        <f>(ROUND(C15/60*(C5*PI()/2),2))/((((((100000*((C11/100*C9)/1000)*LN((100000+1000*9.81*C3)/100000))*((C12-2)/2))/(((C12-2)/2)))/(9.81*C3)))/((VLOOKUP(C4,C40:E80,3)))*1.24*9.81/(TREND(D40:D66,C40:C66,C4)))</f>
        <v>14.970282919928868</v>
      </c>
      <c r="K40" s="12"/>
    </row>
    <row r="41" spans="2:11">
      <c r="C41" s="12">
        <v>1</v>
      </c>
      <c r="D41" s="12">
        <v>1.73</v>
      </c>
      <c r="E41" s="12">
        <v>999.90150000000006</v>
      </c>
      <c r="I41" s="12" t="s">
        <v>60</v>
      </c>
      <c r="J41" s="12">
        <f>(ROUND((C11/100*C9),2))*((180-(360/C14)+180)/(360/C14))</f>
        <v>6</v>
      </c>
      <c r="K41" s="12"/>
    </row>
    <row r="42" spans="2:11">
      <c r="C42" s="12">
        <v>2</v>
      </c>
      <c r="D42" s="12">
        <v>1.68</v>
      </c>
      <c r="E42" s="12">
        <v>999.94290000000001</v>
      </c>
      <c r="I42" s="12" t="s">
        <v>61</v>
      </c>
      <c r="J42" s="12">
        <f>J40/J41</f>
        <v>2.4950471533214782</v>
      </c>
      <c r="K42" s="12"/>
    </row>
    <row r="43" spans="2:11">
      <c r="C43" s="12">
        <v>3</v>
      </c>
      <c r="D43" s="12">
        <v>1.62</v>
      </c>
      <c r="E43" s="12">
        <v>999.96720000000005</v>
      </c>
      <c r="I43" s="12" t="s">
        <v>58</v>
      </c>
      <c r="J43" s="12">
        <f>J41/J40</f>
        <v>0.40079402854922858</v>
      </c>
      <c r="K43" s="12"/>
    </row>
    <row r="44" spans="2:11">
      <c r="C44" s="12">
        <v>4</v>
      </c>
      <c r="D44" s="12">
        <v>1.575</v>
      </c>
      <c r="E44" s="12">
        <v>999.97500000000002</v>
      </c>
      <c r="I44" s="12" t="s">
        <v>26</v>
      </c>
      <c r="J44" s="12">
        <f>J43*60</f>
        <v>24.047641712953716</v>
      </c>
      <c r="K44" s="12" t="s">
        <v>62</v>
      </c>
    </row>
    <row r="45" spans="2:11">
      <c r="C45" s="12">
        <v>5</v>
      </c>
      <c r="D45" s="12">
        <v>1.5249999999999999</v>
      </c>
      <c r="E45" s="12">
        <v>999.96680000000003</v>
      </c>
      <c r="I45" s="12"/>
      <c r="J45" s="12">
        <f>(ROUND((C11/100*C9),2))*((180-(360/C14)+180)/(360/C14))/((ROUND(C15/60*(C5*PI()/2),2))/((((((100000*((C11/100*C9)/1000)*LN((100000+1000*9.81*C3)/100000))*((C12-2)/2))/(((C12-2)/2)))/(9.81*C3)))/((VLOOKUP(C4,C40:E80,3)))*1.24*9.81/(TREND(D40:D66,C40:C66,C4))))*60</f>
        <v>24.047641712953716</v>
      </c>
      <c r="K45" s="12"/>
    </row>
    <row r="46" spans="2:11">
      <c r="C46" s="12">
        <v>6</v>
      </c>
      <c r="D46" s="12">
        <v>1.4750000000000001</v>
      </c>
      <c r="E46" s="12">
        <v>999.94299999999998</v>
      </c>
      <c r="I46" s="12"/>
      <c r="J46" s="12"/>
      <c r="K46" s="12"/>
    </row>
    <row r="47" spans="2:11">
      <c r="C47" s="12">
        <v>7</v>
      </c>
      <c r="D47" s="12">
        <v>1.425</v>
      </c>
      <c r="E47" s="12">
        <v>999.90430000000003</v>
      </c>
    </row>
    <row r="48" spans="2:11">
      <c r="C48" s="12">
        <v>8</v>
      </c>
      <c r="D48" s="12">
        <v>1.385</v>
      </c>
      <c r="E48" s="12">
        <v>999.85090000000002</v>
      </c>
    </row>
    <row r="49" spans="3:5">
      <c r="C49" s="12">
        <v>9</v>
      </c>
      <c r="D49" s="12">
        <v>1.33</v>
      </c>
      <c r="E49" s="12">
        <v>999.78340000000003</v>
      </c>
    </row>
    <row r="50" spans="3:5">
      <c r="C50" s="12">
        <v>10</v>
      </c>
      <c r="D50" s="12">
        <v>1.2969999999999999</v>
      </c>
      <c r="E50" s="12">
        <v>999.70209999999997</v>
      </c>
    </row>
    <row r="51" spans="3:5">
      <c r="C51" s="12">
        <v>11</v>
      </c>
      <c r="D51" s="12">
        <v>1.2669999999999999</v>
      </c>
      <c r="E51" s="12">
        <v>999.60739999999998</v>
      </c>
    </row>
    <row r="52" spans="3:5">
      <c r="C52" s="12">
        <v>12</v>
      </c>
      <c r="D52" s="12">
        <v>1.238</v>
      </c>
      <c r="E52" s="12">
        <v>999.49959999999999</v>
      </c>
    </row>
    <row r="53" spans="3:5">
      <c r="C53" s="12">
        <v>13</v>
      </c>
      <c r="D53" s="12">
        <v>1.2</v>
      </c>
      <c r="E53" s="12">
        <v>999.37919999999997</v>
      </c>
    </row>
    <row r="54" spans="3:5">
      <c r="C54" s="12">
        <v>14</v>
      </c>
      <c r="D54" s="12">
        <v>1.17</v>
      </c>
      <c r="E54" s="12">
        <v>999.24639999999999</v>
      </c>
    </row>
    <row r="55" spans="3:5">
      <c r="C55" s="12">
        <v>15</v>
      </c>
      <c r="D55" s="12">
        <v>1.1359999999999999</v>
      </c>
      <c r="E55" s="12">
        <v>999.10159999999996</v>
      </c>
    </row>
    <row r="56" spans="3:5">
      <c r="C56" s="12">
        <v>16</v>
      </c>
      <c r="D56" s="12">
        <v>1.1000000000000001</v>
      </c>
      <c r="E56" s="12">
        <v>998.94500000000005</v>
      </c>
    </row>
    <row r="57" spans="3:5">
      <c r="C57" s="12">
        <v>17</v>
      </c>
      <c r="D57" s="12">
        <v>1.08</v>
      </c>
      <c r="E57" s="12">
        <v>998.77689999999996</v>
      </c>
    </row>
    <row r="58" spans="3:5">
      <c r="C58" s="12">
        <v>18</v>
      </c>
      <c r="D58" s="12">
        <v>1.05</v>
      </c>
      <c r="E58" s="12">
        <v>998.59760000000006</v>
      </c>
    </row>
    <row r="59" spans="3:5">
      <c r="C59" s="12">
        <v>19</v>
      </c>
      <c r="D59" s="12">
        <v>1.028</v>
      </c>
      <c r="E59" s="12">
        <v>998.40729999999996</v>
      </c>
    </row>
    <row r="60" spans="3:5">
      <c r="C60" s="12">
        <v>20</v>
      </c>
      <c r="D60" s="12">
        <v>1.002</v>
      </c>
      <c r="E60" s="12">
        <v>998.20630000000006</v>
      </c>
    </row>
    <row r="61" spans="3:5">
      <c r="C61" s="12">
        <v>21</v>
      </c>
      <c r="D61" s="12">
        <v>0.98</v>
      </c>
      <c r="E61" s="12">
        <v>997.99480000000005</v>
      </c>
    </row>
    <row r="62" spans="3:5">
      <c r="C62" s="12">
        <v>22</v>
      </c>
      <c r="D62" s="12">
        <v>0.95</v>
      </c>
      <c r="E62" s="12">
        <v>997.77300000000002</v>
      </c>
    </row>
    <row r="63" spans="3:5">
      <c r="C63" s="12">
        <v>23</v>
      </c>
      <c r="D63" s="12">
        <v>0.93500000000000005</v>
      </c>
      <c r="E63" s="12">
        <v>997.5412</v>
      </c>
    </row>
    <row r="64" spans="3:5">
      <c r="C64" s="12">
        <v>24</v>
      </c>
      <c r="D64" s="12">
        <v>0.91</v>
      </c>
      <c r="E64" s="12">
        <v>997.29939999999999</v>
      </c>
    </row>
    <row r="65" spans="3:5">
      <c r="C65" s="12">
        <v>25</v>
      </c>
      <c r="D65" s="12">
        <v>0.89100000000000001</v>
      </c>
      <c r="E65" s="12">
        <v>997.048</v>
      </c>
    </row>
    <row r="66" spans="3:5">
      <c r="C66" s="12">
        <v>26</v>
      </c>
      <c r="D66" s="12">
        <v>0.875</v>
      </c>
      <c r="E66" s="12">
        <v>996.78700000000003</v>
      </c>
    </row>
    <row r="67" spans="3:5">
      <c r="C67" s="12">
        <v>27</v>
      </c>
      <c r="D67" s="12">
        <v>0.85</v>
      </c>
      <c r="E67" s="12">
        <v>996.51660000000004</v>
      </c>
    </row>
    <row r="68" spans="3:5">
      <c r="C68" s="12">
        <v>28</v>
      </c>
      <c r="D68" s="12">
        <v>0.83299999999999996</v>
      </c>
      <c r="E68" s="12">
        <v>996.23710000000005</v>
      </c>
    </row>
    <row r="69" spans="3:5">
      <c r="C69" s="12">
        <v>29</v>
      </c>
      <c r="D69" s="12">
        <v>0.82</v>
      </c>
      <c r="E69" s="12">
        <v>995.94860000000006</v>
      </c>
    </row>
    <row r="70" spans="3:5">
      <c r="C70" s="12">
        <v>30</v>
      </c>
      <c r="D70" s="12">
        <v>0.79</v>
      </c>
      <c r="E70" s="12">
        <v>995.65110000000004</v>
      </c>
    </row>
    <row r="71" spans="3:5">
      <c r="C71" s="12">
        <v>31</v>
      </c>
      <c r="D71" s="12">
        <f>TREND(D40:D66,C40:C66,C4)</f>
        <v>1.0630651811151806</v>
      </c>
      <c r="E71" s="12">
        <v>995.34500000000003</v>
      </c>
    </row>
    <row r="72" spans="3:5">
      <c r="C72" s="12">
        <v>32</v>
      </c>
      <c r="D72" s="12"/>
      <c r="E72" s="12">
        <v>995.03020000000004</v>
      </c>
    </row>
    <row r="73" spans="3:5">
      <c r="C73" s="12">
        <v>33</v>
      </c>
      <c r="D73" s="12"/>
      <c r="E73" s="12">
        <v>994.70709999999997</v>
      </c>
    </row>
    <row r="74" spans="3:5">
      <c r="C74" s="12">
        <v>34</v>
      </c>
      <c r="D74" s="12"/>
      <c r="E74" s="12">
        <v>994.37559999999996</v>
      </c>
    </row>
    <row r="75" spans="3:5">
      <c r="C75" s="12">
        <v>35</v>
      </c>
      <c r="D75" s="12"/>
      <c r="E75" s="12">
        <v>994.03589999999997</v>
      </c>
    </row>
    <row r="76" spans="3:5">
      <c r="C76" s="12">
        <v>36</v>
      </c>
      <c r="D76" s="12"/>
      <c r="E76" s="12">
        <v>993.68830000000003</v>
      </c>
    </row>
    <row r="77" spans="3:5">
      <c r="C77" s="12">
        <v>37</v>
      </c>
      <c r="D77" s="12"/>
      <c r="E77" s="12">
        <v>993.33280000000002</v>
      </c>
    </row>
    <row r="78" spans="3:5">
      <c r="C78" s="12">
        <v>38</v>
      </c>
      <c r="D78" s="12"/>
      <c r="E78" s="12">
        <v>992.96950000000004</v>
      </c>
    </row>
    <row r="79" spans="3:5">
      <c r="C79" s="12">
        <v>39</v>
      </c>
      <c r="D79" s="12"/>
      <c r="E79" s="12">
        <v>992.59870000000001</v>
      </c>
    </row>
    <row r="80" spans="3:5">
      <c r="C80" s="12">
        <v>40</v>
      </c>
      <c r="D80" s="12"/>
      <c r="E80" s="12">
        <v>992.22040000000004</v>
      </c>
    </row>
  </sheetData>
  <sheetProtection password="ED17" sheet="1" objects="1" scenarios="1"/>
  <mergeCells count="13">
    <mergeCell ref="G3:M4"/>
    <mergeCell ref="I5:K6"/>
    <mergeCell ref="I7:K8"/>
    <mergeCell ref="A10:F10"/>
    <mergeCell ref="G13:H14"/>
    <mergeCell ref="L13:M14"/>
    <mergeCell ref="I30:K31"/>
    <mergeCell ref="G15:H16"/>
    <mergeCell ref="L15:M16"/>
    <mergeCell ref="A16:F16"/>
    <mergeCell ref="L17:M18"/>
    <mergeCell ref="L19:M21"/>
    <mergeCell ref="I28:K29"/>
  </mergeCells>
  <conditionalFormatting sqref="C11">
    <cfRule type="expression" dxfId="7" priority="8">
      <formula>$C$11&gt;(ROUND(((C15/60*(C5*PI()/2/(C24/60))/C32)/C9*100),0))</formula>
    </cfRule>
  </conditionalFormatting>
  <conditionalFormatting sqref="C11">
    <cfRule type="expression" dxfId="6" priority="7">
      <formula>$C$11&gt;(ROUND(((C15/60*(C5*PI()/2/(C24/60))/((180-(360/C14)+180)/(360/C14)))/C9*100),0))</formula>
    </cfRule>
  </conditionalFormatting>
  <conditionalFormatting sqref="C11">
    <cfRule type="expression" dxfId="5" priority="6">
      <formula>$C$11&gt;(ROUND(((C15/60*(C5*PI()/2/(C24/60))/C32)/C9*100),0))</formula>
    </cfRule>
  </conditionalFormatting>
  <conditionalFormatting sqref="C11">
    <cfRule type="expression" dxfId="4" priority="5">
      <formula>$C$11&gt;(ROUND(((C15/60*(C5*PI()/2/(C24/60))/((180-(360/C14)+180)/(360/C14)))/C9*100),0))</formula>
    </cfRule>
  </conditionalFormatting>
  <conditionalFormatting sqref="C11">
    <cfRule type="expression" dxfId="3" priority="4">
      <formula>$C$11&gt;(ROUND(((C15/60*(C5*PI()/2/(C24/60))/C32)/C9*100),0))</formula>
    </cfRule>
  </conditionalFormatting>
  <conditionalFormatting sqref="C11">
    <cfRule type="expression" dxfId="2" priority="3">
      <formula>$C$11&gt;(ROUND(((C15/60*(C5*PI()/2/(C24/60))/((180-(360/C14)+180)/(360/C14)))/C9*100),0))</formula>
    </cfRule>
  </conditionalFormatting>
  <conditionalFormatting sqref="C11">
    <cfRule type="expression" dxfId="1" priority="2">
      <formula>$C$11&gt;(ROUND(((C15/60*(C5*PI()/2/(C24/60))/C32)/C9*100),0))</formula>
    </cfRule>
  </conditionalFormatting>
  <conditionalFormatting sqref="C11">
    <cfRule type="expression" dxfId="0" priority="1">
      <formula>$C$11&gt;(ROUND(((C15/60*(C5*PI()/2/(C24/60))/((180-(360/C14)+180)/(360/C14)))/C9*100),0))</formula>
    </cfRule>
  </conditionalFormatting>
  <dataValidations xWindow="439" yWindow="249" count="8">
    <dataValidation type="decimal" errorStyle="information" showInputMessage="1" showErrorMessage="1" error="Hier muss ein Wert zwischen 0C° und 40C° eingegeben werden." prompt="Hier bitte einen Wert zwischen 0C° und 40C° eingeben." sqref="C4">
      <formula1>0</formula1>
      <formula2>40</formula2>
    </dataValidation>
    <dataValidation type="whole" operator="greaterThanOrEqual" showInputMessage="1" showErrorMessage="1" error="Bitte einen Ganzahligen Wert gleich oder rößer 4 eingeben." sqref="C12">
      <formula1>4</formula1>
    </dataValidation>
    <dataValidation type="decimal" operator="greaterThanOrEqual" showInputMessage="1" showErrorMessage="1" error="Bitte einen Wert eingeben." sqref="C15">
      <formula1>1</formula1>
    </dataValidation>
    <dataValidation type="decimal" showInputMessage="1" showErrorMessage="1" sqref="C21">
      <formula1>1</formula1>
      <formula2>100</formula2>
    </dataValidation>
    <dataValidation type="decimal" showInputMessage="1" showErrorMessage="1" sqref="C18 C20">
      <formula1>1</formula1>
      <formula2>100</formula2>
    </dataValidation>
    <dataValidation type="decimal" showInputMessage="1" showErrorMessage="1" sqref="C11">
      <formula1>1</formula1>
      <formula2>100</formula2>
    </dataValidation>
    <dataValidation type="decimal" operator="greaterThanOrEqual" showInputMessage="1" showErrorMessage="1" sqref="C3">
      <formula1>1</formula1>
    </dataValidation>
    <dataValidation type="decimal" operator="lessThanOrEqual" showInputMessage="1" showErrorMessage="1" error="Bitte einen Wert gleich oder kleiner 0,5m eingeben." sqref="C5">
      <formula1>0.5</formula1>
    </dataValidation>
  </dataValidation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AuKW-Rechner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Thorsten</dc:creator>
  <cp:lastModifiedBy>Thorsten</cp:lastModifiedBy>
  <dcterms:created xsi:type="dcterms:W3CDTF">2015-04-05T16:11:43Z</dcterms:created>
  <dcterms:modified xsi:type="dcterms:W3CDTF">2015-04-05T20:03:56Z</dcterms:modified>
</cp:coreProperties>
</file>